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ra.giraldo\Desktop\"/>
    </mc:Choice>
  </mc:AlternateContent>
  <bookViews>
    <workbookView xWindow="0" yWindow="0" windowWidth="20490" windowHeight="6750"/>
  </bookViews>
  <sheets>
    <sheet name="Hoja1" sheetId="1" r:id="rId1"/>
  </sheets>
  <externalReferences>
    <externalReference r:id="rId2"/>
    <externalReference r:id="rId3"/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" i="1" l="1"/>
  <c r="M17" i="1"/>
  <c r="M18" i="1"/>
  <c r="M4" i="1"/>
  <c r="M5" i="1"/>
  <c r="M6" i="1"/>
  <c r="M7" i="1"/>
  <c r="M8" i="1"/>
  <c r="M10" i="1"/>
  <c r="M11" i="1"/>
  <c r="M12" i="1"/>
  <c r="M13" i="1"/>
  <c r="L19" i="1"/>
  <c r="L18" i="1"/>
  <c r="L17" i="1"/>
  <c r="L4" i="1"/>
  <c r="L5" i="1"/>
  <c r="L6" i="1"/>
  <c r="L7" i="1"/>
  <c r="L8" i="1"/>
  <c r="L10" i="1"/>
  <c r="L11" i="1"/>
  <c r="L12" i="1"/>
  <c r="L13" i="1"/>
  <c r="L3" i="1"/>
  <c r="M3" i="1"/>
  <c r="J3" i="1"/>
  <c r="K4" i="1" l="1"/>
  <c r="K5" i="1"/>
  <c r="K6" i="1"/>
  <c r="K7" i="1"/>
  <c r="K8" i="1"/>
  <c r="K9" i="1"/>
  <c r="K10" i="1"/>
  <c r="K11" i="1"/>
  <c r="K12" i="1"/>
  <c r="K13" i="1"/>
  <c r="K16" i="1"/>
  <c r="K17" i="1"/>
  <c r="K18" i="1"/>
  <c r="K19" i="1"/>
  <c r="K3" i="1"/>
  <c r="J4" i="1"/>
  <c r="J5" i="1"/>
  <c r="J6" i="1"/>
  <c r="J7" i="1"/>
  <c r="J8" i="1"/>
  <c r="J9" i="1"/>
  <c r="J10" i="1"/>
  <c r="J11" i="1"/>
  <c r="J12" i="1"/>
  <c r="J13" i="1"/>
  <c r="J16" i="1"/>
  <c r="J17" i="1"/>
  <c r="J18" i="1"/>
  <c r="J19" i="1"/>
  <c r="H18" i="1" l="1"/>
  <c r="F18" i="1"/>
  <c r="D18" i="1"/>
  <c r="H17" i="1"/>
  <c r="F17" i="1"/>
  <c r="D17" i="1"/>
  <c r="H16" i="1"/>
  <c r="F16" i="1"/>
  <c r="F15" i="1"/>
  <c r="F14" i="1"/>
  <c r="D14" i="1"/>
  <c r="F13" i="1"/>
  <c r="F12" i="1"/>
  <c r="F11" i="1"/>
  <c r="F10" i="1"/>
  <c r="D10" i="1"/>
  <c r="F9" i="1"/>
  <c r="F8" i="1" s="1"/>
  <c r="D8" i="1"/>
  <c r="C8" i="1"/>
  <c r="B8" i="1"/>
  <c r="H7" i="1"/>
  <c r="G7" i="1"/>
  <c r="F7" i="1"/>
  <c r="D7" i="1"/>
  <c r="D6" i="1" s="1"/>
  <c r="B7" i="1"/>
  <c r="B6" i="1" s="1"/>
  <c r="I6" i="1"/>
  <c r="H6" i="1"/>
  <c r="G6" i="1"/>
  <c r="F6" i="1"/>
  <c r="E6" i="1"/>
  <c r="C6" i="1"/>
  <c r="H5" i="1"/>
  <c r="G5" i="1"/>
  <c r="G3" i="1" s="1"/>
  <c r="F5" i="1"/>
  <c r="D5" i="1"/>
  <c r="H4" i="1"/>
  <c r="G4" i="1"/>
  <c r="F4" i="1"/>
  <c r="D4" i="1"/>
  <c r="D3" i="1" s="1"/>
  <c r="I3" i="1"/>
  <c r="H3" i="1"/>
  <c r="F3" i="1"/>
  <c r="F19" i="1" s="1"/>
  <c r="E3" i="1"/>
  <c r="C3" i="1"/>
  <c r="C19" i="1" s="1"/>
  <c r="B3" i="1"/>
  <c r="E17" i="1"/>
  <c r="I13" i="1"/>
  <c r="G18" i="1"/>
  <c r="G15" i="1"/>
  <c r="H13" i="1"/>
  <c r="E12" i="1"/>
  <c r="G10" i="1"/>
  <c r="E9" i="1"/>
  <c r="E18" i="1"/>
  <c r="I16" i="1"/>
  <c r="I14" i="1"/>
  <c r="G13" i="1"/>
  <c r="I11" i="1"/>
  <c r="I10" i="1"/>
  <c r="H14" i="1"/>
  <c r="H11" i="1"/>
  <c r="E10" i="1"/>
  <c r="I12" i="1"/>
  <c r="I18" i="1"/>
  <c r="E14" i="1"/>
  <c r="E11" i="1"/>
  <c r="G12" i="1"/>
  <c r="I17" i="1"/>
  <c r="G16" i="1"/>
  <c r="G14" i="1"/>
  <c r="E13" i="1"/>
  <c r="G11" i="1"/>
  <c r="I9" i="1"/>
  <c r="G17" i="1"/>
  <c r="I15" i="1"/>
  <c r="H12" i="1"/>
  <c r="H9" i="1"/>
  <c r="H15" i="1"/>
  <c r="G9" i="1"/>
  <c r="H10" i="1"/>
  <c r="G8" i="1" l="1"/>
  <c r="G19" i="1" s="1"/>
  <c r="H8" i="1"/>
  <c r="H19" i="1" s="1"/>
  <c r="I8" i="1"/>
  <c r="I19" i="1" s="1"/>
  <c r="E8" i="1"/>
  <c r="E19" i="1" s="1"/>
  <c r="D19" i="1"/>
  <c r="B19" i="1"/>
</calcChain>
</file>

<file path=xl/sharedStrings.xml><?xml version="1.0" encoding="utf-8"?>
<sst xmlns="http://schemas.openxmlformats.org/spreadsheetml/2006/main" count="34" uniqueCount="29">
  <si>
    <t>APROPIACIÓN</t>
  </si>
  <si>
    <t xml:space="preserve">EJECUTADO </t>
  </si>
  <si>
    <t>EJECUTADO</t>
  </si>
  <si>
    <t>APROP. TOTAL</t>
  </si>
  <si>
    <t>APROP. CSF</t>
  </si>
  <si>
    <t>FUNCIONAMIENTO</t>
  </si>
  <si>
    <t>GASTOS DE PERSONAL</t>
  </si>
  <si>
    <t>GASTOS GENERALES</t>
  </si>
  <si>
    <t>ORGANISMOS MULTILATERALES</t>
  </si>
  <si>
    <t>SERVICIO DE LA DEUDA</t>
  </si>
  <si>
    <t>INVERSIÓN</t>
  </si>
  <si>
    <t>PLANES DE ORDENAMIENTO</t>
  </si>
  <si>
    <t>SISTEMA DE INFORMACIÓN DE TIERRAS</t>
  </si>
  <si>
    <t>DOTACIÓN DE TIERRAS</t>
  </si>
  <si>
    <t>LEGALIZACIÓN DE TIERRAS COMUNIDADES INDÍGENAS</t>
  </si>
  <si>
    <t>LEGALIZACIÓN DE TIERRAS COMUNIDADES NEGRAS</t>
  </si>
  <si>
    <t>FORMALIZACIÓN DE LA PEQUEÑA PROPIEDAD RURAL</t>
  </si>
  <si>
    <t>REGULARIZACIÒN DE LA PROPIEDAD</t>
  </si>
  <si>
    <t>FONDO DOCUMENTAL</t>
  </si>
  <si>
    <t xml:space="preserve">CAPACIDAD DE GESTIÓN </t>
  </si>
  <si>
    <t>SEDES</t>
  </si>
  <si>
    <t>TOTAL GENERAL</t>
  </si>
  <si>
    <t>COMPONENTE / VIGENCIA</t>
  </si>
  <si>
    <t>PRESUPUESTO 2016</t>
  </si>
  <si>
    <t>PRESUPUESTO 2017</t>
  </si>
  <si>
    <t>APROPIACIÓN 2016 VS 2017</t>
  </si>
  <si>
    <t>EJECUTADO 2016 VS 2017</t>
  </si>
  <si>
    <t>COMPARATIVO DEL PRESUPUESTO 2016 VS 2017</t>
  </si>
  <si>
    <t>COMPARATIVO DEL PRESUPUESTO 2016 VS 2017 %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</si>
</sst>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6">
    <xf numFmtId="0" fontId="0" fillId="0" borderId="0" xfId="0"/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41" fontId="2" fillId="3" borderId="2" xfId="0" applyNumberFormat="1" applyFont="1" applyFill="1" applyBorder="1"/>
    <xf numFmtId="41" fontId="0" fillId="0" borderId="2" xfId="0" applyNumberFormat="1" applyBorder="1"/>
    <xf numFmtId="41" fontId="2" fillId="2" borderId="2" xfId="0" applyNumberFormat="1" applyFont="1" applyFill="1" applyBorder="1"/>
    <xf numFmtId="3" fontId="4" fillId="0" borderId="0" xfId="0" applyNumberFormat="1" applyFont="1"/>
    <xf numFmtId="3" fontId="5" fillId="0" borderId="0" xfId="0" applyNumberFormat="1" applyFont="1"/>
    <xf numFmtId="3" fontId="0" fillId="0" borderId="0" xfId="0" applyNumberFormat="1"/>
    <xf numFmtId="0" fontId="0" fillId="0" borderId="0" xfId="0" applyAlignment="1"/>
    <xf numFmtId="0" fontId="2" fillId="2" borderId="3" xfId="0" applyFont="1" applyFill="1" applyBorder="1" applyAlignment="1">
      <alignment horizontal="center"/>
    </xf>
    <xf numFmtId="41" fontId="2" fillId="3" borderId="3" xfId="0" applyNumberFormat="1" applyFont="1" applyFill="1" applyBorder="1"/>
    <xf numFmtId="41" fontId="0" fillId="0" borderId="3" xfId="0" applyNumberFormat="1" applyBorder="1"/>
    <xf numFmtId="41" fontId="2" fillId="2" borderId="3" xfId="0" applyNumberFormat="1" applyFont="1" applyFill="1" applyBorder="1"/>
    <xf numFmtId="0" fontId="2" fillId="3" borderId="6" xfId="0" applyFont="1" applyFill="1" applyBorder="1" applyAlignment="1"/>
    <xf numFmtId="0" fontId="0" fillId="0" borderId="6" xfId="0" applyBorder="1"/>
    <xf numFmtId="0" fontId="2" fillId="2" borderId="7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1" fontId="2" fillId="3" borderId="10" xfId="0" applyNumberFormat="1" applyFont="1" applyFill="1" applyBorder="1"/>
    <xf numFmtId="41" fontId="2" fillId="3" borderId="11" xfId="0" applyNumberFormat="1" applyFont="1" applyFill="1" applyBorder="1"/>
    <xf numFmtId="41" fontId="0" fillId="0" borderId="10" xfId="0" applyNumberFormat="1" applyBorder="1"/>
    <xf numFmtId="41" fontId="0" fillId="0" borderId="11" xfId="0" applyNumberFormat="1" applyBorder="1"/>
    <xf numFmtId="41" fontId="0" fillId="0" borderId="10" xfId="1" applyFont="1" applyBorder="1" applyAlignment="1">
      <alignment vertical="center"/>
    </xf>
    <xf numFmtId="41" fontId="0" fillId="0" borderId="11" xfId="1" applyFont="1" applyBorder="1" applyAlignment="1">
      <alignment vertical="center"/>
    </xf>
    <xf numFmtId="41" fontId="2" fillId="2" borderId="12" xfId="0" applyNumberFormat="1" applyFont="1" applyFill="1" applyBorder="1"/>
    <xf numFmtId="41" fontId="2" fillId="2" borderId="13" xfId="0" applyNumberFormat="1" applyFont="1" applyFill="1" applyBorder="1"/>
    <xf numFmtId="41" fontId="3" fillId="0" borderId="11" xfId="0" applyNumberFormat="1" applyFont="1" applyFill="1" applyBorder="1"/>
    <xf numFmtId="41" fontId="3" fillId="4" borderId="10" xfId="0" applyNumberFormat="1" applyFont="1" applyFill="1" applyBorder="1"/>
    <xf numFmtId="41" fontId="3" fillId="4" borderId="11" xfId="0" applyNumberFormat="1" applyFont="1" applyFill="1" applyBorder="1"/>
    <xf numFmtId="0" fontId="0" fillId="0" borderId="10" xfId="0" applyBorder="1"/>
    <xf numFmtId="0" fontId="0" fillId="0" borderId="11" xfId="0" applyBorder="1"/>
    <xf numFmtId="0" fontId="2" fillId="2" borderId="14" xfId="0" applyFont="1" applyFill="1" applyBorder="1" applyAlignment="1">
      <alignment horizontal="center"/>
    </xf>
    <xf numFmtId="41" fontId="2" fillId="3" borderId="14" xfId="0" applyNumberFormat="1" applyFont="1" applyFill="1" applyBorder="1"/>
    <xf numFmtId="41" fontId="0" fillId="0" borderId="14" xfId="0" applyNumberFormat="1" applyBorder="1"/>
    <xf numFmtId="41" fontId="3" fillId="0" borderId="14" xfId="0" applyNumberFormat="1" applyFont="1" applyFill="1" applyBorder="1"/>
    <xf numFmtId="41" fontId="3" fillId="4" borderId="14" xfId="0" applyNumberFormat="1" applyFont="1" applyFill="1" applyBorder="1"/>
    <xf numFmtId="41" fontId="3" fillId="4" borderId="14" xfId="0" applyNumberFormat="1" applyFont="1" applyFill="1" applyBorder="1" applyAlignment="1">
      <alignment vertical="center"/>
    </xf>
    <xf numFmtId="41" fontId="0" fillId="0" borderId="14" xfId="1" applyFont="1" applyBorder="1"/>
    <xf numFmtId="41" fontId="2" fillId="2" borderId="14" xfId="0" applyNumberFormat="1" applyFont="1" applyFill="1" applyBorder="1"/>
    <xf numFmtId="41" fontId="0" fillId="3" borderId="10" xfId="0" applyNumberFormat="1" applyFill="1" applyBorder="1"/>
    <xf numFmtId="41" fontId="0" fillId="3" borderId="11" xfId="0" applyNumberFormat="1" applyFill="1" applyBorder="1"/>
    <xf numFmtId="10" fontId="0" fillId="0" borderId="10" xfId="0" applyNumberFormat="1" applyBorder="1"/>
    <xf numFmtId="10" fontId="0" fillId="0" borderId="11" xfId="0" applyNumberFormat="1" applyBorder="1"/>
    <xf numFmtId="10" fontId="0" fillId="3" borderId="10" xfId="0" applyNumberFormat="1" applyFill="1" applyBorder="1"/>
    <xf numFmtId="10" fontId="0" fillId="3" borderId="11" xfId="0" applyNumberFormat="1" applyFill="1" applyBorder="1"/>
    <xf numFmtId="41" fontId="2" fillId="5" borderId="12" xfId="0" applyNumberFormat="1" applyFont="1" applyFill="1" applyBorder="1"/>
    <xf numFmtId="41" fontId="2" fillId="5" borderId="13" xfId="0" applyNumberFormat="1" applyFont="1" applyFill="1" applyBorder="1"/>
    <xf numFmtId="0" fontId="2" fillId="5" borderId="10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1" fontId="0" fillId="0" borderId="10" xfId="0" applyNumberFormat="1" applyBorder="1" applyAlignment="1">
      <alignment horizontal="center" vertical="center"/>
    </xf>
    <xf numFmtId="41" fontId="3" fillId="4" borderId="11" xfId="0" applyNumberFormat="1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center" wrapText="1"/>
    </xf>
    <xf numFmtId="41" fontId="0" fillId="0" borderId="6" xfId="0" applyNumberFormat="1" applyBorder="1"/>
    <xf numFmtId="10" fontId="0" fillId="5" borderId="12" xfId="0" applyNumberFormat="1" applyFill="1" applyBorder="1"/>
    <xf numFmtId="10" fontId="0" fillId="5" borderId="13" xfId="0" applyNumberForma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acosta/Desktop/PLANEACI&#211;N%20ESTRAT&#201;GICA%20ANT%202018/ejecuci&#243;n%20pptal%2016-17-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acosta/Desktop/PLANEACI&#211;N%20ESTRAT&#201;GICA%20ANT%202018/EjecucionPresupuestalAgregada%20A%2031%20DE%20DICIEMBRE%20PARA%20Informe%20de%20gest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acosta/Downloads/31-03-2018%20-%20REP_EPG034_EjecucionPresupuestalAgreg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"/>
      <sheetName val="ppto histórico ANT 16-17"/>
      <sheetName val="Hoja4"/>
      <sheetName val="Hoja3"/>
      <sheetName val="PPTO VIGENTE 2018"/>
      <sheetName val="ppto vigente 2018 SSF Y CSF"/>
      <sheetName val="prop techo anteproyecto 2019"/>
      <sheetName val="detalle funcionamiento"/>
      <sheetName val="detalle inversión"/>
      <sheetName val="necesidades totales ANT"/>
      <sheetName val="MGMP INVERSIÓN"/>
      <sheetName val="MGMP FUNCIONAMIENTO"/>
    </sheetNames>
    <sheetDataSet>
      <sheetData sheetId="0" refreshError="1"/>
      <sheetData sheetId="1" refreshError="1">
        <row r="7">
          <cell r="E7">
            <v>88200000</v>
          </cell>
        </row>
        <row r="24">
          <cell r="E24">
            <v>15257316667</v>
          </cell>
        </row>
        <row r="25">
          <cell r="E25">
            <v>4965400000</v>
          </cell>
        </row>
        <row r="27">
          <cell r="E27">
            <v>106000000</v>
          </cell>
        </row>
        <row r="30">
          <cell r="E30">
            <v>7000000000</v>
          </cell>
        </row>
        <row r="34">
          <cell r="E34">
            <v>24000000000</v>
          </cell>
        </row>
        <row r="35">
          <cell r="E35">
            <v>1100000000</v>
          </cell>
        </row>
        <row r="36">
          <cell r="E36">
            <v>1500000000</v>
          </cell>
        </row>
      </sheetData>
      <sheetData sheetId="2" refreshError="1"/>
      <sheetData sheetId="3" refreshError="1"/>
      <sheetData sheetId="4" refreshError="1">
        <row r="3">
          <cell r="D3">
            <v>3222400000</v>
          </cell>
        </row>
        <row r="4">
          <cell r="D4">
            <v>3751000000</v>
          </cell>
        </row>
        <row r="5">
          <cell r="D5">
            <v>230000000</v>
          </cell>
        </row>
        <row r="6">
          <cell r="D6">
            <v>255000000</v>
          </cell>
        </row>
        <row r="7">
          <cell r="D7">
            <v>618000000</v>
          </cell>
        </row>
        <row r="8">
          <cell r="D8">
            <v>2198000000</v>
          </cell>
        </row>
        <row r="9">
          <cell r="D9">
            <v>1258000000</v>
          </cell>
        </row>
        <row r="10">
          <cell r="D10">
            <v>795667604</v>
          </cell>
        </row>
        <row r="11">
          <cell r="D11">
            <v>1468000000</v>
          </cell>
        </row>
        <row r="12">
          <cell r="D12">
            <v>7566000000</v>
          </cell>
        </row>
        <row r="14">
          <cell r="D14">
            <v>85970000</v>
          </cell>
        </row>
        <row r="16">
          <cell r="D16">
            <v>15537252102</v>
          </cell>
        </row>
        <row r="17">
          <cell r="D17">
            <v>37000000000</v>
          </cell>
        </row>
        <row r="18">
          <cell r="D18">
            <v>73589045493</v>
          </cell>
        </row>
        <row r="19">
          <cell r="D19">
            <v>67424930786</v>
          </cell>
        </row>
        <row r="20">
          <cell r="D20">
            <v>15350734769</v>
          </cell>
        </row>
        <row r="21">
          <cell r="D21">
            <v>12000000000</v>
          </cell>
        </row>
        <row r="22">
          <cell r="D22">
            <v>28895385927</v>
          </cell>
        </row>
        <row r="23">
          <cell r="D23">
            <v>14947692964</v>
          </cell>
        </row>
        <row r="24">
          <cell r="D24">
            <v>8835782564</v>
          </cell>
        </row>
        <row r="25">
          <cell r="D25">
            <v>1723872164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  <sheetName val="Hoja3"/>
      <sheetName val="Hoja2"/>
      <sheetName val="Hoja1"/>
    </sheetNames>
    <sheetDataSet>
      <sheetData sheetId="0" refreshError="1"/>
      <sheetData sheetId="1" refreshError="1">
        <row r="3">
          <cell r="A3" t="str">
            <v>RUBRO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  <sheetName val="Hoja2"/>
      <sheetName val="Hoja1"/>
    </sheetNames>
    <sheetDataSet>
      <sheetData sheetId="0" refreshError="1"/>
      <sheetData sheetId="1" refreshError="1">
        <row r="3">
          <cell r="A3" t="str">
            <v>Etiquetas de fila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J1" sqref="J1:K1"/>
    </sheetView>
  </sheetViews>
  <sheetFormatPr baseColWidth="10" defaultRowHeight="15"/>
  <cols>
    <col min="1" max="1" width="52.42578125" customWidth="1"/>
    <col min="2" max="2" width="16.28515625" bestFit="1" customWidth="1"/>
    <col min="3" max="3" width="16.28515625" customWidth="1"/>
    <col min="4" max="4" width="16.28515625" bestFit="1" customWidth="1"/>
    <col min="5" max="5" width="16.28515625" customWidth="1"/>
    <col min="6" max="9" width="16.28515625" hidden="1" customWidth="1"/>
    <col min="10" max="10" width="17.28515625" customWidth="1"/>
    <col min="11" max="11" width="16.28515625" bestFit="1" customWidth="1"/>
    <col min="12" max="12" width="17.85546875" bestFit="1" customWidth="1"/>
    <col min="13" max="13" width="13.42578125" customWidth="1"/>
  </cols>
  <sheetData>
    <row r="1" spans="1:15" ht="39.75" customHeight="1" thickBot="1">
      <c r="A1" s="52" t="s">
        <v>22</v>
      </c>
      <c r="B1" s="54" t="s">
        <v>23</v>
      </c>
      <c r="C1" s="55"/>
      <c r="D1" s="54" t="s">
        <v>24</v>
      </c>
      <c r="E1" s="55"/>
      <c r="F1" s="56">
        <v>2018</v>
      </c>
      <c r="G1" s="56"/>
      <c r="H1" s="56"/>
      <c r="I1" s="56"/>
      <c r="J1" s="50" t="s">
        <v>27</v>
      </c>
      <c r="K1" s="51"/>
      <c r="L1" s="59" t="s">
        <v>28</v>
      </c>
      <c r="M1" s="60"/>
    </row>
    <row r="2" spans="1:15" s="2" customFormat="1" ht="27.75" customHeight="1">
      <c r="A2" s="53"/>
      <c r="B2" s="17" t="s">
        <v>0</v>
      </c>
      <c r="C2" s="18" t="s">
        <v>1</v>
      </c>
      <c r="D2" s="17" t="s">
        <v>0</v>
      </c>
      <c r="E2" s="18" t="s">
        <v>2</v>
      </c>
      <c r="F2" s="10" t="s">
        <v>3</v>
      </c>
      <c r="G2" s="1" t="s">
        <v>4</v>
      </c>
      <c r="H2" s="1" t="s">
        <v>4</v>
      </c>
      <c r="I2" s="32" t="s">
        <v>2</v>
      </c>
      <c r="J2" s="48" t="s">
        <v>25</v>
      </c>
      <c r="K2" s="49" t="s">
        <v>26</v>
      </c>
      <c r="L2" s="61" t="s">
        <v>25</v>
      </c>
      <c r="M2" s="62" t="s">
        <v>26</v>
      </c>
      <c r="N2" s="9"/>
      <c r="O2" s="9"/>
    </row>
    <row r="3" spans="1:15">
      <c r="A3" s="14" t="s">
        <v>5</v>
      </c>
      <c r="B3" s="19">
        <f t="shared" ref="B3:I3" si="0">+B4+B5</f>
        <v>8724587070</v>
      </c>
      <c r="C3" s="20">
        <f>+C4+C5</f>
        <v>7034974367.0599995</v>
      </c>
      <c r="D3" s="19">
        <f t="shared" si="0"/>
        <v>20222716667</v>
      </c>
      <c r="E3" s="20">
        <f t="shared" si="0"/>
        <v>15170507020</v>
      </c>
      <c r="F3" s="11">
        <f t="shared" si="0"/>
        <v>21362067604</v>
      </c>
      <c r="G3" s="3">
        <f t="shared" si="0"/>
        <v>0</v>
      </c>
      <c r="H3" s="3">
        <f t="shared" si="0"/>
        <v>0</v>
      </c>
      <c r="I3" s="33">
        <f t="shared" si="0"/>
        <v>15170507020</v>
      </c>
      <c r="J3" s="21">
        <f>+D3-B3</f>
        <v>11498129597</v>
      </c>
      <c r="K3" s="22">
        <f>+E3-C3</f>
        <v>8135532652.9400005</v>
      </c>
      <c r="L3" s="42">
        <f>J3/B3</f>
        <v>1.3178995756185399</v>
      </c>
      <c r="M3" s="43">
        <f>K3/C3</f>
        <v>1.1564409802305986</v>
      </c>
      <c r="N3" s="9"/>
      <c r="O3" s="9"/>
    </row>
    <row r="4" spans="1:15">
      <c r="A4" s="15" t="s">
        <v>6</v>
      </c>
      <c r="B4" s="21">
        <v>6066600498</v>
      </c>
      <c r="C4" s="22">
        <v>5037386312</v>
      </c>
      <c r="D4" s="21">
        <f>+'[1]ppto histórico ANT 16-17'!E24</f>
        <v>15257316667</v>
      </c>
      <c r="E4" s="22">
        <v>11165661276</v>
      </c>
      <c r="F4" s="12">
        <f>+'[1]PPTO VIGENTE 2018'!D4+'[1]PPTO VIGENTE 2018'!D6+'[1]PPTO VIGENTE 2018'!D8+'[1]PPTO VIGENTE 2018'!D9+'[1]PPTO VIGENTE 2018'!D11+'[1]PPTO VIGENTE 2018'!D12</f>
        <v>16496000000</v>
      </c>
      <c r="G4" s="4">
        <f>+'[1]PPTO VIGENTE 2018'!E4+'[1]PPTO VIGENTE 2018'!E6+'[1]PPTO VIGENTE 2018'!E8+'[1]PPTO VIGENTE 2018'!E9+'[1]PPTO VIGENTE 2018'!E11+'[1]PPTO VIGENTE 2018'!E12</f>
        <v>0</v>
      </c>
      <c r="H4" s="4">
        <f>+'[1]PPTO VIGENTE 2018'!F4+'[1]PPTO VIGENTE 2018'!F6+'[1]PPTO VIGENTE 2018'!F8+'[1]PPTO VIGENTE 2018'!F9+'[1]PPTO VIGENTE 2018'!F11+'[1]PPTO VIGENTE 2018'!F12</f>
        <v>0</v>
      </c>
      <c r="I4" s="34">
        <v>11165661276</v>
      </c>
      <c r="J4" s="21">
        <f t="shared" ref="J4:J19" si="1">+D4-B4</f>
        <v>9190716169</v>
      </c>
      <c r="K4" s="22">
        <f t="shared" ref="K4:K19" si="2">+E4-C4</f>
        <v>6128274964</v>
      </c>
      <c r="L4" s="42">
        <f t="shared" ref="L4:L13" si="3">J4/B4</f>
        <v>1.5149697383287295</v>
      </c>
      <c r="M4" s="43">
        <f t="shared" ref="M4:M19" si="4">K4/C4</f>
        <v>1.2165584659253348</v>
      </c>
    </row>
    <row r="5" spans="1:15">
      <c r="A5" s="15" t="s">
        <v>7</v>
      </c>
      <c r="B5" s="21">
        <v>2657986572</v>
      </c>
      <c r="C5" s="22">
        <v>1997588055.0599999</v>
      </c>
      <c r="D5" s="21">
        <f>+'[1]ppto histórico ANT 16-17'!E25</f>
        <v>4965400000</v>
      </c>
      <c r="E5" s="22">
        <v>4004845744</v>
      </c>
      <c r="F5" s="12">
        <f>+'[1]PPTO VIGENTE 2018'!D3+'[1]PPTO VIGENTE 2018'!D5+'[1]PPTO VIGENTE 2018'!D7+'[1]PPTO VIGENTE 2018'!D10</f>
        <v>4866067604</v>
      </c>
      <c r="G5" s="4">
        <f>+'[1]PPTO VIGENTE 2018'!E3+'[1]PPTO VIGENTE 2018'!E5+'[1]PPTO VIGENTE 2018'!E7+'[1]PPTO VIGENTE 2018'!E10</f>
        <v>0</v>
      </c>
      <c r="H5" s="4">
        <f>+'[1]PPTO VIGENTE 2018'!F3+'[1]PPTO VIGENTE 2018'!F5+'[1]PPTO VIGENTE 2018'!F7+'[1]PPTO VIGENTE 2018'!F10</f>
        <v>0</v>
      </c>
      <c r="I5" s="34">
        <v>4004845744</v>
      </c>
      <c r="J5" s="21">
        <f t="shared" si="1"/>
        <v>2307413428</v>
      </c>
      <c r="K5" s="22">
        <f t="shared" si="2"/>
        <v>2007257688.9400001</v>
      </c>
      <c r="L5" s="42">
        <f t="shared" si="3"/>
        <v>0.86810575053574801</v>
      </c>
      <c r="M5" s="43">
        <f t="shared" si="4"/>
        <v>1.0048406546362281</v>
      </c>
    </row>
    <row r="6" spans="1:15">
      <c r="A6" s="14" t="s">
        <v>8</v>
      </c>
      <c r="B6" s="19">
        <f t="shared" ref="B6:I6" si="5">+B7</f>
        <v>88200000</v>
      </c>
      <c r="C6" s="20">
        <f t="shared" si="5"/>
        <v>76641008.719999999</v>
      </c>
      <c r="D6" s="19">
        <f t="shared" si="5"/>
        <v>106000000</v>
      </c>
      <c r="E6" s="20">
        <f t="shared" si="5"/>
        <v>75064252.790000007</v>
      </c>
      <c r="F6" s="11">
        <f t="shared" si="5"/>
        <v>85970000</v>
      </c>
      <c r="G6" s="3">
        <f t="shared" si="5"/>
        <v>0</v>
      </c>
      <c r="H6" s="3">
        <f t="shared" si="5"/>
        <v>0</v>
      </c>
      <c r="I6" s="33">
        <f t="shared" si="5"/>
        <v>75064252.790000007</v>
      </c>
      <c r="J6" s="40">
        <f t="shared" si="1"/>
        <v>17800000</v>
      </c>
      <c r="K6" s="41">
        <f t="shared" si="2"/>
        <v>-1576755.9299999923</v>
      </c>
      <c r="L6" s="44">
        <f t="shared" si="3"/>
        <v>0.20181405895691609</v>
      </c>
      <c r="M6" s="45">
        <f t="shared" si="4"/>
        <v>-2.0573266927638008E-2</v>
      </c>
    </row>
    <row r="7" spans="1:15">
      <c r="A7" s="15" t="s">
        <v>9</v>
      </c>
      <c r="B7" s="21">
        <f>+'[1]ppto histórico ANT 16-17'!E7</f>
        <v>88200000</v>
      </c>
      <c r="C7" s="22">
        <v>76641008.719999999</v>
      </c>
      <c r="D7" s="21">
        <f>+'[1]ppto histórico ANT 16-17'!E27</f>
        <v>106000000</v>
      </c>
      <c r="E7" s="27">
        <v>75064252.790000007</v>
      </c>
      <c r="F7" s="12">
        <f>+'[1]PPTO VIGENTE 2018'!D14</f>
        <v>85970000</v>
      </c>
      <c r="G7" s="4">
        <f>+'[1]PPTO VIGENTE 2018'!E14</f>
        <v>0</v>
      </c>
      <c r="H7" s="4">
        <f>+'[1]PPTO VIGENTE 2018'!F14</f>
        <v>0</v>
      </c>
      <c r="I7" s="35">
        <v>75064252.790000007</v>
      </c>
      <c r="J7" s="21">
        <f t="shared" si="1"/>
        <v>17800000</v>
      </c>
      <c r="K7" s="22">
        <f t="shared" si="2"/>
        <v>-1576755.9299999923</v>
      </c>
      <c r="L7" s="42">
        <f t="shared" si="3"/>
        <v>0.20181405895691609</v>
      </c>
      <c r="M7" s="43">
        <f t="shared" si="4"/>
        <v>-2.0573266927638008E-2</v>
      </c>
    </row>
    <row r="8" spans="1:15">
      <c r="A8" s="14" t="s">
        <v>10</v>
      </c>
      <c r="B8" s="19">
        <f>+B9+B10+B11+B12+B13+B14+B15+B16+B17+B18</f>
        <v>104848187629</v>
      </c>
      <c r="C8" s="20">
        <f>+C9+C10+C11+C12+C13+C14+C15+C16+C17+C18</f>
        <v>94279484631.690002</v>
      </c>
      <c r="D8" s="19">
        <f>+D9+D10+D11+D12+D13+D14+D16+D17+D18</f>
        <v>271624041340</v>
      </c>
      <c r="E8" s="20">
        <f>+E9+E10+E11+E12+E13+E14+E16+E17+E18</f>
        <v>251858185178.01999</v>
      </c>
      <c r="F8" s="11">
        <f>+F9+F10+F11+F12+F13+F14+F15+F16+F17+F18</f>
        <v>275304696769</v>
      </c>
      <c r="G8" s="3">
        <f>+G9+G10+G11+G12+G13+G14+G15+G16+G17+G18</f>
        <v>169815384830</v>
      </c>
      <c r="H8" s="3">
        <f>+H9+H10+H11+H12+H13+H14+H15+H16+H17+H18</f>
        <v>105489311939</v>
      </c>
      <c r="I8" s="33">
        <f>+I9+I10+I11+I12+I13+I14+I16+I17+I18</f>
        <v>93144544188.680008</v>
      </c>
      <c r="J8" s="40">
        <f t="shared" si="1"/>
        <v>166775853711</v>
      </c>
      <c r="K8" s="41">
        <f t="shared" si="2"/>
        <v>157578700546.32999</v>
      </c>
      <c r="L8" s="44">
        <f t="shared" si="3"/>
        <v>1.5906412641211112</v>
      </c>
      <c r="M8" s="45">
        <f t="shared" si="4"/>
        <v>1.671399681085691</v>
      </c>
    </row>
    <row r="9" spans="1:15">
      <c r="A9" s="15" t="s">
        <v>11</v>
      </c>
      <c r="B9" s="23">
        <v>0</v>
      </c>
      <c r="C9" s="24">
        <v>0</v>
      </c>
      <c r="D9" s="28">
        <v>105623988277</v>
      </c>
      <c r="E9" s="29">
        <f>+GETPIVOTDATA("Suma de OBLIGACION",[2]Hoja3!$A$3,"RUBRO","C-1704-1100-11","DESCRIPCION","ELABORACIÓN DE PLANES DE ORDENAMIENTO SOCIAL DE LA PROPIEDAD RURAL A NIVEL  NACIONAL")+GETPIVOTDATA("Suma de OBLIGACION",[2]Hoja3!$A$3,"RUBRO","C-1704-1100-7","DESCRIPCION","FORMULACIÓN PLANES DE ORDENAMIENTO SOCIAL DE LA PROPIEDAD RURAL , , NACIONAL")</f>
        <v>104402070946.44</v>
      </c>
      <c r="F9" s="12">
        <f>+'[1]PPTO VIGENTE 2018'!D19</f>
        <v>67424930786</v>
      </c>
      <c r="G9" s="4">
        <f>+GETPIVOTDATA("Suma de APR. VIGENTE",[3]Hoja2!$A$3,"RUBRO","C-1704-1100-11","SIT","CSF","DESCRIPCION","ELABORACIÓN DE PLANES DE ORDENAMIENTO SOCIAL DE LA PROPIEDAD RURAL A NIVEL  NACIONAL")</f>
        <v>41000000000</v>
      </c>
      <c r="H9" s="4">
        <f>+GETPIVOTDATA("Suma de APR. VIGENTE",[3]Hoja2!$A$3,"RUBRO","C-1704-1100-11","SIT","SSF","DESCRIPCION","ELABORACIÓN DE PLANES DE ORDENAMIENTO SOCIAL DE LA PROPIEDAD RURAL A NIVEL  NACIONAL")</f>
        <v>26424930786</v>
      </c>
      <c r="I9" s="36">
        <f>+GETPIVOTDATA("Suma de COMPROMISO",[3]Hoja2!$A$3,"RUBRO","C-1704-1100-11","SIT","CSF","DESCRIPCION","ELABORACIÓN DE PLANES DE ORDENAMIENTO SOCIAL DE LA PROPIEDAD RURAL A NIVEL  NACIONAL")</f>
        <v>27412218574</v>
      </c>
      <c r="J9" s="21">
        <f t="shared" si="1"/>
        <v>105623988277</v>
      </c>
      <c r="K9" s="22">
        <f t="shared" si="2"/>
        <v>104402070946.44</v>
      </c>
      <c r="L9" s="42"/>
      <c r="M9" s="43"/>
    </row>
    <row r="10" spans="1:15">
      <c r="A10" s="15" t="s">
        <v>12</v>
      </c>
      <c r="B10" s="23">
        <v>1329159868</v>
      </c>
      <c r="C10" s="24">
        <v>1266056571.9200001</v>
      </c>
      <c r="D10" s="21">
        <f>+'[1]ppto histórico ANT 16-17'!E30</f>
        <v>7000000000</v>
      </c>
      <c r="E10" s="29">
        <f>+GETPIVOTDATA("Suma de OBLIGACION",[2]Hoja3!$A$3,"RUBRO","C-1704-1100-3","DESCRIPCION","IMPLEMENTACIÓN DEL SISTEMA DE INFORMACIÓN DE TIERRAS RURALES A NIVEL NACIONAL")</f>
        <v>6492565057.2799997</v>
      </c>
      <c r="F10" s="12">
        <f>+'[1]PPTO VIGENTE 2018'!D24</f>
        <v>8835782564</v>
      </c>
      <c r="G10" s="4">
        <f>+GETPIVOTDATA("Suma de APR. VIGENTE",[3]Hoja2!$A$3,"RUBRO","C-1704-1100-12","SIT","CSF","DESCRIPCION","IMPLEMENTACIÓN DEL SISTEMA INTEGRADO DE TIERRAS PARA LA GESTIÓN DEL ORDENAMIENTO SOCIAL DE LA PROPIEDAD A NIVEL   NACIONAL")</f>
        <v>7000000000</v>
      </c>
      <c r="H10" s="4">
        <f>+GETPIVOTDATA("Suma de APR. VIGENTE",[3]Hoja2!$A$3,"RUBRO","C-1704-1100-12","SIT","SSF","DESCRIPCION","IMPLEMENTACIÓN DEL SISTEMA INTEGRADO DE TIERRAS PARA LA GESTIÓN DEL ORDENAMIENTO SOCIAL DE LA PROPIEDAD A NIVEL   NACIONAL")</f>
        <v>1835782564</v>
      </c>
      <c r="I10" s="36">
        <f>+GETPIVOTDATA("Suma de COMPROMISO",[3]Hoja2!$A$3,"RUBRO","C-1704-1100-12","SIT","CSF","DESCRIPCION","IMPLEMENTACIÓN DEL SISTEMA INTEGRADO DE TIERRAS PARA LA GESTIÓN DEL ORDENAMIENTO SOCIAL DE LA PROPIEDAD A NIVEL   NACIONAL")</f>
        <v>6181850276.0500002</v>
      </c>
      <c r="J10" s="21">
        <f t="shared" si="1"/>
        <v>5670840132</v>
      </c>
      <c r="K10" s="22">
        <f t="shared" si="2"/>
        <v>5226508485.3599997</v>
      </c>
      <c r="L10" s="42">
        <f t="shared" si="3"/>
        <v>4.266484618237059</v>
      </c>
      <c r="M10" s="43">
        <f t="shared" si="4"/>
        <v>4.1281792625063307</v>
      </c>
    </row>
    <row r="11" spans="1:15">
      <c r="A11" s="15" t="s">
        <v>13</v>
      </c>
      <c r="B11" s="23">
        <v>67746737456</v>
      </c>
      <c r="C11" s="24">
        <v>61472650633.169998</v>
      </c>
      <c r="D11" s="21">
        <v>83075624999</v>
      </c>
      <c r="E11" s="22">
        <f>+GETPIVOTDATA("Suma de OBLIGACION",[2]Hoja3!$A$3,"RUBRO","C-1704-1100-4","DESCRIPCION","ADMINISTRACIÓN DE LAS TIERRAS DE LA NACIÓN, A NIVEL NACIONAL")+GETPIVOTDATA("Suma de OBLIGACION",[2]Hoja3!$A$3,"RUBRO","C-1704-1100-6","DESCRIPCION","IMPLEMENTACIÓN DE UN PROGRAMA DE DOTACIÓN DE TIERRAS Y REGULARIZACIÓN DE LA PROPIEDAD A NIVEL NACIONAL")+GETPIVOTDATA("Suma de OBLIGACION",[2]Hoja3!$A$3,"RUBRO","C-1799-1100-1","DESCRIPCION","IMPLEMENTACIÓN DE UN PROGRAMA DE SEGUIMIENTO A LOS PROCESOS Y PROCEDIMIENTOS DE ADJUDICACIÓN DE TIERRAS A NIVEL NACIONAL")</f>
        <v>76074758626.119995</v>
      </c>
      <c r="F11" s="12">
        <f>+'[1]PPTO VIGENTE 2018'!D18</f>
        <v>73589045493</v>
      </c>
      <c r="G11" s="4">
        <f>+GETPIVOTDATA("Suma de APR. VIGENTE",[3]Hoja2!$A$3,"RUBRO","C-1704-1100-10","SIT","CSF","DESCRIPCION","DOTACIÓN  DE TIERRAS PARA GARANTIZAR LOS MECANISMOS DE ACCESO A SUJETOS DE REFORMA AGRARIA A NIVEL  NACIONAL")</f>
        <v>39125393067</v>
      </c>
      <c r="H11" s="4">
        <f>+GETPIVOTDATA("Suma de APR. VIGENTE",[3]Hoja2!$A$3,"RUBRO","C-1704-1100-10","SIT","SSF","DESCRIPCION","DOTACIÓN  DE TIERRAS PARA GARANTIZAR LOS MECANISMOS DE ACCESO A SUJETOS DE REFORMA AGRARIA A NIVEL  NACIONAL")</f>
        <v>34463652426</v>
      </c>
      <c r="I11" s="34">
        <f>+GETPIVOTDATA("Suma de COMPROMISO",[3]Hoja2!$A$3,"RUBRO","C-1704-1100-10","SIT","CSF","DESCRIPCION","DOTACIÓN  DE TIERRAS PARA GARANTIZAR LOS MECANISMOS DE ACCESO A SUJETOS DE REFORMA AGRARIA A NIVEL  NACIONAL")</f>
        <v>26551276864</v>
      </c>
      <c r="J11" s="21">
        <f t="shared" si="1"/>
        <v>15328887543</v>
      </c>
      <c r="K11" s="22">
        <f t="shared" si="2"/>
        <v>14602107992.949997</v>
      </c>
      <c r="L11" s="42">
        <f t="shared" si="3"/>
        <v>0.22626753875720984</v>
      </c>
      <c r="M11" s="43">
        <f t="shared" si="4"/>
        <v>0.23753828479084407</v>
      </c>
    </row>
    <row r="12" spans="1:15">
      <c r="A12" s="15" t="s">
        <v>14</v>
      </c>
      <c r="B12" s="23">
        <v>15701791538</v>
      </c>
      <c r="C12" s="24">
        <v>15196502227</v>
      </c>
      <c r="D12" s="28">
        <v>35303978510</v>
      </c>
      <c r="E12" s="29">
        <f>+GETPIVOTDATA("Suma de OBLIGACION",[2]Hoja3!$A$3,"RUBRO","C-1704-1100-1","DESCRIPCION","IMPLEMENTACIÓN DEL PROGRAMA DE LEGALIZACIÓN DE TIERRAS Y FOMENTO AL DESARROLLO RURAL PARA COMUNIDADES INDÍGENAS A NIVEL NACIONAL")</f>
        <v>31552224590.529999</v>
      </c>
      <c r="F12" s="12">
        <f>+'[1]PPTO VIGENTE 2018'!D22</f>
        <v>28895385927</v>
      </c>
      <c r="G12" s="4">
        <f>+GETPIVOTDATA("Suma de APR. VIGENTE",[3]Hoja2!$A$3,"RUBRO","C-1704-1100-13","SIT","CSF","DESCRIPCION","IMPLEMENTACIÓN DEL PROGRAMA DE LEGALIZACIÓN DE TIERRAS Y FOMENTO AL DESARROLLO RURAL PARA COMUNIDADES INDÍGENAS A NIVEL NACIONAL")</f>
        <v>21800000000</v>
      </c>
      <c r="H12" s="4">
        <f>+GETPIVOTDATA("Suma de APR. VIGENTE",[3]Hoja2!$A$3,"RUBRO","C-1704-1100-13","SIT","SSF","DESCRIPCION","IMPLEMENTACIÓN DEL PROGRAMA DE LEGALIZACIÓN DE TIERRAS Y FOMENTO AL DESARROLLO RURAL PARA COMUNIDADES INDÍGENAS A NIVEL NACIONAL")</f>
        <v>7095385927</v>
      </c>
      <c r="I12" s="36">
        <f>+GETPIVOTDATA("Suma de COMPROMISO",[3]Hoja2!$A$3,"RUBRO","C-1704-1100-13","SIT","CSF","DESCRIPCION","IMPLEMENTACIÓN DEL PROGRAMA DE LEGALIZACIÓN DE TIERRAS Y FOMENTO AL DESARROLLO RURAL PARA COMUNIDADES INDÍGENAS A NIVEL NACIONAL")</f>
        <v>6857430643</v>
      </c>
      <c r="J12" s="21">
        <f t="shared" si="1"/>
        <v>19602186972</v>
      </c>
      <c r="K12" s="22">
        <f t="shared" si="2"/>
        <v>16355722363.529999</v>
      </c>
      <c r="L12" s="42">
        <f t="shared" si="3"/>
        <v>1.2484044845813058</v>
      </c>
      <c r="M12" s="43">
        <f t="shared" si="4"/>
        <v>1.0762820364327248</v>
      </c>
    </row>
    <row r="13" spans="1:15">
      <c r="A13" s="15" t="s">
        <v>15</v>
      </c>
      <c r="B13" s="23">
        <v>7941903358</v>
      </c>
      <c r="C13" s="24">
        <v>5459906486</v>
      </c>
      <c r="D13" s="28">
        <v>14020449554</v>
      </c>
      <c r="E13" s="29">
        <f>+GETPIVOTDATA("Suma de OBLIGACION",[2]Hoja3!$A$3,"RUBRO","C-1704-1100-2","DESCRIPCION","IMPLEMENTACIÓN DEL PROGRAMA DE LEGALIZACIÓN DE TIERRAS Y FOMENTO AL DESARROLLO RURAL PARA COMUNIDADES NEGRAS A NIVEL  NACIONAL")</f>
        <v>9732129887.0799999</v>
      </c>
      <c r="F13" s="12">
        <f>+'[1]PPTO VIGENTE 2018'!D23</f>
        <v>14947692964</v>
      </c>
      <c r="G13" s="4">
        <f>+GETPIVOTDATA("Suma de APR. VIGENTE",[3]Hoja2!$A$3,"RUBRO","C-1704-1100-14","SIT","CSF","DESCRIPCION","IMPLEMENTACIÓN DEL PROGRAMA DE LEGALIZACIÓN DE TIERRAS Y FOMENTO AL DESARROLLO RURAL PARA COMUNIDADES NEGRAS A NIVEL  NACIONAL")</f>
        <v>13842351008</v>
      </c>
      <c r="H13" s="4">
        <f>+GETPIVOTDATA("Suma de APR. VIGENTE",[3]Hoja2!$A$3,"RUBRO","C-1704-1100-14","SIT","SSF","DESCRIPCION","IMPLEMENTACIÓN DEL PROGRAMA DE LEGALIZACIÓN DE TIERRAS Y FOMENTO AL DESARROLLO RURAL PARA COMUNIDADES NEGRAS A NIVEL  NACIONAL")</f>
        <v>1105341956</v>
      </c>
      <c r="I13" s="36">
        <f>+GETPIVOTDATA("Suma de COMPROMISO",[3]Hoja2!$A$3,"RUBRO","C-1704-1100-14","SIT","CSF","DESCRIPCION","IMPLEMENTACIÓN DEL PROGRAMA DE LEGALIZACIÓN DE TIERRAS Y FOMENTO AL DESARROLLO RURAL PARA COMUNIDADES NEGRAS A NIVEL  NACIONAL")</f>
        <v>2955042077</v>
      </c>
      <c r="J13" s="21">
        <f t="shared" si="1"/>
        <v>6078546196</v>
      </c>
      <c r="K13" s="22">
        <f t="shared" si="2"/>
        <v>4272223401.0799999</v>
      </c>
      <c r="L13" s="42">
        <f t="shared" si="3"/>
        <v>0.76537650006493574</v>
      </c>
      <c r="M13" s="43">
        <f t="shared" si="4"/>
        <v>0.78247189984564869</v>
      </c>
    </row>
    <row r="14" spans="1:15">
      <c r="A14" s="15" t="s">
        <v>16</v>
      </c>
      <c r="B14" s="23">
        <v>10000000000</v>
      </c>
      <c r="C14" s="24">
        <v>9772633362.6000004</v>
      </c>
      <c r="D14" s="57">
        <f>+'[1]ppto histórico ANT 16-17'!E34</f>
        <v>24000000000</v>
      </c>
      <c r="E14" s="58">
        <f>+GETPIVOTDATA("Suma de OBLIGACION",[2]Hoja3!$A$3,"RUBRO","C-1704-1100-5","DESCRIPCION","APOYO TÉCNICO ADMINISTRATIVO Y JUDICIAL PARA LA FORMALIZACIÓN DE PREDIOS Y PROCESOS AGRARIOS A NIVEL NACIONAL")</f>
        <v>21205062950.57</v>
      </c>
      <c r="F14" s="12">
        <f>+'[1]PPTO VIGENTE 2018'!D17</f>
        <v>37000000000</v>
      </c>
      <c r="G14" s="4">
        <f>+GETPIVOTDATA("Suma de APR. VIGENTE",[3]Hoja2!$A$3,"RUBRO","C-1704-1100-8","SIT","CSF","DESCRIPCION","ASISTENCIA TÉCNICA Y JURÍDICA PARA LA FORMALIZACIÓN DE LA PEQUEÑA PROPIEDAD PRIVADA RURAL A NIVEL  NACIONAL")</f>
        <v>13000000000</v>
      </c>
      <c r="H14" s="4">
        <f>+GETPIVOTDATA("Suma de APR. VIGENTE",[3]Hoja2!$A$3,"RUBRO","C-1704-1100-8","SIT","SSF","DESCRIPCION","ASISTENCIA TÉCNICA Y JURÍDICA PARA LA FORMALIZACIÓN DE LA PEQUEÑA PROPIEDAD PRIVADA RURAL A NIVEL  NACIONAL")</f>
        <v>24000000000</v>
      </c>
      <c r="I14" s="37">
        <f>+GETPIVOTDATA("Suma de COMPROMISO",[3]Hoja2!$A$3,"RUBRO","C-1704-1100-8","SIT","CSF","DESCRIPCION","ASISTENCIA TÉCNICA Y JURÍDICA PARA LA FORMALIZACIÓN DE LA PEQUEÑA PROPIEDAD PRIVADA RURAL A NIVEL  NACIONAL")</f>
        <v>10827753374</v>
      </c>
      <c r="J14" s="21"/>
      <c r="K14" s="22"/>
      <c r="L14" s="42"/>
      <c r="M14" s="43"/>
    </row>
    <row r="15" spans="1:15">
      <c r="A15" s="15" t="s">
        <v>17</v>
      </c>
      <c r="B15" s="23">
        <v>0</v>
      </c>
      <c r="C15" s="24">
        <v>0</v>
      </c>
      <c r="D15" s="57"/>
      <c r="E15" s="58"/>
      <c r="F15" s="12">
        <f>+'[1]PPTO VIGENTE 2018'!D16</f>
        <v>15537252102</v>
      </c>
      <c r="G15" s="4">
        <f>+GETPIVOTDATA("Suma de APR. VIGENTE",[3]Hoja2!$A$3,"RUBRO","C-1704-1100-9","SIT","CSF","DESCRIPCION","ASISTENCIA JURÍDICA Y TÉCNICA PARA LA REGULARIZACIÓN DE LA PROPIEDAD A NIVEL  NACIONAL")</f>
        <v>4973033822</v>
      </c>
      <c r="H15" s="4">
        <f>+GETPIVOTDATA("Suma de APR. VIGENTE",[3]Hoja2!$A$3,"RUBRO","C-1704-1100-9","SIT","SSF","DESCRIPCION","ASISTENCIA JURÍDICA Y TÉCNICA PARA LA REGULARIZACIÓN DE LA PROPIEDAD A NIVEL  NACIONAL")</f>
        <v>10564218280</v>
      </c>
      <c r="I15" s="37">
        <f>+GETPIVOTDATA("Suma de COMPROMISO",[3]Hoja2!$A$3,"RUBRO","C-1704-1100-9","SIT","CSF","DESCRIPCION","ASISTENCIA JURÍDICA Y TÉCNICA PARA LA REGULARIZACIÓN DE LA PROPIEDAD A NIVEL  NACIONAL")</f>
        <v>4243458263</v>
      </c>
      <c r="J15" s="21"/>
      <c r="K15" s="22"/>
      <c r="L15" s="42"/>
      <c r="M15" s="43"/>
    </row>
    <row r="16" spans="1:15">
      <c r="A16" s="15" t="s">
        <v>18</v>
      </c>
      <c r="B16" s="23">
        <v>0</v>
      </c>
      <c r="C16" s="24">
        <v>0</v>
      </c>
      <c r="D16" s="30">
        <v>0</v>
      </c>
      <c r="E16" s="31">
        <v>0</v>
      </c>
      <c r="F16" s="12">
        <f>+'[1]PPTO VIGENTE 2018'!D21</f>
        <v>12000000000</v>
      </c>
      <c r="G16" s="4">
        <f>+GETPIVOTDATA("Suma de APR. VIGENTE",[3]Hoja2!$A$3,"RUBRO","C-1799-1100-4","SIT","CSF","DESCRIPCION","FORTALECIMIENTO GESTIÓN INTEGRAL DEL FONDO DOCUMENTAL DE LA AGENCIA NACIONAL DE TIERRAS NIVEL  NACIONAL")</f>
        <v>12000000000</v>
      </c>
      <c r="H16" s="4">
        <f>+'[1]PPTO VIGENTE 2018'!F21</f>
        <v>0</v>
      </c>
      <c r="I16" s="38">
        <f>+GETPIVOTDATA("Suma de COMPROMISO",[3]Hoja2!$A$3,"RUBRO","C-1799-1100-4","SIT","CSF","DESCRIPCION","FORTALECIMIENTO GESTIÓN INTEGRAL DEL FONDO DOCUMENTAL DE LA AGENCIA NACIONAL DE TIERRAS NIVEL  NACIONAL")</f>
        <v>1563425404</v>
      </c>
      <c r="J16" s="21">
        <f t="shared" si="1"/>
        <v>0</v>
      </c>
      <c r="K16" s="22">
        <f t="shared" si="2"/>
        <v>0</v>
      </c>
      <c r="L16" s="21">
        <v>0</v>
      </c>
      <c r="M16" s="63">
        <v>0</v>
      </c>
    </row>
    <row r="17" spans="1:13">
      <c r="A17" s="15" t="s">
        <v>19</v>
      </c>
      <c r="B17" s="23">
        <v>970624120</v>
      </c>
      <c r="C17" s="24">
        <v>606473245</v>
      </c>
      <c r="D17" s="21">
        <f>+'[1]ppto histórico ANT 16-17'!E36</f>
        <v>1500000000</v>
      </c>
      <c r="E17" s="29">
        <f>+GETPIVOTDATA("Suma de OBLIGACION",[2]Hoja3!$A$3,"RUBRO","C-1799-1100-2","DESCRIPCION","MEJORAMIENTO Y FORTALECIMIENTO DE LA CAPACIDAD DE GESTION INSTITUCIONAL, A NIVEL NACIONAL")</f>
        <v>1475695229</v>
      </c>
      <c r="F17" s="12">
        <f>+'[1]PPTO VIGENTE 2018'!D20</f>
        <v>15350734769</v>
      </c>
      <c r="G17" s="4">
        <f>+GETPIVOTDATA("Suma de APR. VIGENTE",[3]Hoja2!$A$3,"RUBRO","C-1799-1100-5","SIT","CSF","DESCRIPCION","FORTALECIMIENTO DE LA CAPACIDAD DE GESTIÓN INSTITUCIONAL  NACIONAL")</f>
        <v>15350734769</v>
      </c>
      <c r="H17" s="4">
        <f>+'[1]PPTO VIGENTE 2018'!F20</f>
        <v>0</v>
      </c>
      <c r="I17" s="36">
        <f>+GETPIVOTDATA("Suma de COMPROMISO",[3]Hoja2!$A$3,"RUBRO","C-1799-1100-5","SIT","CSF","DESCRIPCION","FORTALECIMIENTO DE LA CAPACIDAD DE GESTIÓN INSTITUCIONAL  NACIONAL")</f>
        <v>10068316738.629999</v>
      </c>
      <c r="J17" s="21">
        <f t="shared" si="1"/>
        <v>529375880</v>
      </c>
      <c r="K17" s="22">
        <f t="shared" si="2"/>
        <v>869221984</v>
      </c>
      <c r="L17" s="42">
        <f>J17/B17</f>
        <v>0.54539740883422516</v>
      </c>
      <c r="M17" s="43">
        <f t="shared" si="4"/>
        <v>1.4332404457512384</v>
      </c>
    </row>
    <row r="18" spans="1:13">
      <c r="A18" s="15" t="s">
        <v>20</v>
      </c>
      <c r="B18" s="23">
        <v>1157971289</v>
      </c>
      <c r="C18" s="24">
        <v>505262106</v>
      </c>
      <c r="D18" s="21">
        <f>+'[1]ppto histórico ANT 16-17'!E35</f>
        <v>1100000000</v>
      </c>
      <c r="E18" s="27">
        <f>+GETPIVOTDATA("Suma de OBLIGACION",[2]Hoja3!$A$3,"RUBRO","C-1799-1100-3","DESCRIPCION","MEJORAMIENTO MANTENIMIENTO Y AQUISICIÓN DE SEDES A NIVEL NACIONAL")</f>
        <v>923677891</v>
      </c>
      <c r="F18" s="12">
        <f>+'[1]PPTO VIGENTE 2018'!D25</f>
        <v>1723872164</v>
      </c>
      <c r="G18" s="4">
        <f>+GETPIVOTDATA("Suma de APR. VIGENTE",[3]Hoja2!$A$3,"RUBRO","C-1799-1100-3","SIT","CSF","DESCRIPCION","MEJORAMIENTO MANTENIMIENTO Y AQUISICIÓN DE SEDES A NIVEL NACIONAL")</f>
        <v>1723872164</v>
      </c>
      <c r="H18" s="4">
        <f>+'[1]PPTO VIGENTE 2018'!F25</f>
        <v>0</v>
      </c>
      <c r="I18" s="35">
        <f>+GETPIVOTDATA("Suma de COMPROMISO",[3]Hoja2!$A$3,"RUBRO","C-1799-1100-3","SIT","CSF","DESCRIPCION","MEJORAMIENTO MANTENIMIENTO Y AQUISICIÓN DE SEDES A NIVEL NACIONAL")</f>
        <v>727230238</v>
      </c>
      <c r="J18" s="21">
        <f t="shared" si="1"/>
        <v>-57971289</v>
      </c>
      <c r="K18" s="22">
        <f t="shared" si="2"/>
        <v>418415785</v>
      </c>
      <c r="L18" s="42">
        <f>J18/B18</f>
        <v>-5.006280341377272E-2</v>
      </c>
      <c r="M18" s="43">
        <f t="shared" si="4"/>
        <v>0.82811629851378565</v>
      </c>
    </row>
    <row r="19" spans="1:13" ht="15.75" thickBot="1">
      <c r="A19" s="16" t="s">
        <v>21</v>
      </c>
      <c r="B19" s="25">
        <f t="shared" ref="B19:I19" si="6">+B3+B6+B8</f>
        <v>113660974699</v>
      </c>
      <c r="C19" s="26">
        <f t="shared" si="6"/>
        <v>101391100007.47</v>
      </c>
      <c r="D19" s="25">
        <f t="shared" si="6"/>
        <v>291952758007</v>
      </c>
      <c r="E19" s="26">
        <f t="shared" si="6"/>
        <v>267103756450.81</v>
      </c>
      <c r="F19" s="13">
        <f t="shared" si="6"/>
        <v>296752734373</v>
      </c>
      <c r="G19" s="5">
        <f t="shared" si="6"/>
        <v>169815384830</v>
      </c>
      <c r="H19" s="5">
        <f t="shared" si="6"/>
        <v>105489311939</v>
      </c>
      <c r="I19" s="39">
        <f t="shared" si="6"/>
        <v>108390115461.47</v>
      </c>
      <c r="J19" s="46">
        <f t="shared" si="1"/>
        <v>178291783308</v>
      </c>
      <c r="K19" s="47">
        <f t="shared" si="2"/>
        <v>165712656443.34</v>
      </c>
      <c r="L19" s="64">
        <f>J19/B19</f>
        <v>1.5686279638209775</v>
      </c>
      <c r="M19" s="65">
        <f t="shared" si="4"/>
        <v>1.63439055726914</v>
      </c>
    </row>
    <row r="23" spans="1:13">
      <c r="J23" s="6"/>
    </row>
    <row r="24" spans="1:13">
      <c r="J24" s="7"/>
    </row>
    <row r="25" spans="1:13">
      <c r="J25" s="8"/>
    </row>
  </sheetData>
  <mergeCells count="8">
    <mergeCell ref="D14:D15"/>
    <mergeCell ref="E14:E15"/>
    <mergeCell ref="J1:K1"/>
    <mergeCell ref="L1:M1"/>
    <mergeCell ref="A1:A2"/>
    <mergeCell ref="B1:C1"/>
    <mergeCell ref="D1:E1"/>
    <mergeCell ref="F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Augusto Acosta Buitrago</dc:creator>
  <cp:lastModifiedBy>Laura Marcela Giraldo Botero</cp:lastModifiedBy>
  <dcterms:created xsi:type="dcterms:W3CDTF">2018-04-05T14:21:48Z</dcterms:created>
  <dcterms:modified xsi:type="dcterms:W3CDTF">2018-05-08T22:18:42Z</dcterms:modified>
</cp:coreProperties>
</file>